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a2-my.sharepoint.com/personal/jreid_ura_org/Documents/Documents/Tax Diversions/Trustee RFP/"/>
    </mc:Choice>
  </mc:AlternateContent>
  <xr:revisionPtr revIDLastSave="166" documentId="8_{922F8D0B-BFA9-485F-93B8-CC741D556386}" xr6:coauthVersionLast="47" xr6:coauthVersionMax="47" xr10:uidLastSave="{941ECC4C-E0B8-4042-A016-20FEDF738EDB}"/>
  <bookViews>
    <workbookView xWindow="-108" yWindow="-108" windowWidth="23256" windowHeight="12576" activeTab="1" xr2:uid="{00000000-000D-0000-FFFF-FFFF00000000}"/>
  </bookViews>
  <sheets>
    <sheet name="TIF or TRID" sheetId="2" r:id="rId1"/>
    <sheet name="PTD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F11" i="3"/>
  <c r="G11" i="3" s="1"/>
  <c r="E11" i="3"/>
  <c r="D11" i="3"/>
  <c r="C11" i="3"/>
  <c r="B11" i="3"/>
  <c r="H11" i="3" l="1"/>
  <c r="I11" i="3"/>
  <c r="C12" i="2" l="1"/>
  <c r="C11" i="2"/>
  <c r="C10" i="2"/>
  <c r="C6" i="2"/>
  <c r="C5" i="2"/>
  <c r="C4" i="2"/>
  <c r="I23" i="2"/>
  <c r="I22" i="2"/>
  <c r="H23" i="2"/>
  <c r="H22" i="2"/>
  <c r="I17" i="2"/>
  <c r="I16" i="2"/>
  <c r="H17" i="2"/>
  <c r="H16" i="2"/>
  <c r="E23" i="2"/>
  <c r="E22" i="2"/>
  <c r="C24" i="2"/>
  <c r="D24" i="2"/>
  <c r="E17" i="2"/>
  <c r="E16" i="2"/>
  <c r="D18" i="2"/>
  <c r="C18" i="2"/>
  <c r="E24" i="2" l="1"/>
  <c r="J23" i="2"/>
  <c r="I24" i="2"/>
  <c r="H24" i="2"/>
  <c r="J22" i="2"/>
  <c r="J17" i="2"/>
  <c r="H18" i="2"/>
  <c r="J16" i="2"/>
  <c r="I18" i="2"/>
  <c r="E18" i="2"/>
  <c r="J24" i="2" l="1"/>
  <c r="J18" i="2"/>
  <c r="D30" i="2" l="1"/>
  <c r="D28" i="2"/>
  <c r="E29" i="2"/>
  <c r="E30" i="2"/>
  <c r="E28" i="2"/>
  <c r="D29" i="2"/>
  <c r="C29" i="2"/>
  <c r="C30" i="2"/>
  <c r="C28" i="2"/>
  <c r="C31" i="2" l="1"/>
  <c r="F29" i="2"/>
  <c r="E31" i="2"/>
  <c r="F30" i="2"/>
  <c r="D31" i="2"/>
  <c r="F28" i="2"/>
  <c r="G28" i="2" l="1"/>
  <c r="F31" i="2"/>
  <c r="H28" i="2"/>
  <c r="H30" i="2"/>
  <c r="I30" i="2" s="1"/>
  <c r="G30" i="2"/>
  <c r="H29" i="2"/>
  <c r="I29" i="2" s="1"/>
  <c r="G29" i="2"/>
  <c r="H31" i="2" l="1"/>
  <c r="I28" i="2"/>
  <c r="I31" i="2" s="1"/>
  <c r="G31" i="2"/>
</calcChain>
</file>

<file path=xl/sharedStrings.xml><?xml version="1.0" encoding="utf-8"?>
<sst xmlns="http://schemas.openxmlformats.org/spreadsheetml/2006/main" count="78" uniqueCount="52">
  <si>
    <t>9-G-80</t>
  </si>
  <si>
    <t>9-D-200</t>
  </si>
  <si>
    <t>Name of Taxing Body</t>
  </si>
  <si>
    <t>County of Allegheny</t>
  </si>
  <si>
    <t>City of Pittsburgh</t>
  </si>
  <si>
    <t>Pittsburgh Public Schools</t>
  </si>
  <si>
    <t>Millage Rates for Tax Year 2022</t>
  </si>
  <si>
    <t>Tax Parcel ID #</t>
  </si>
  <si>
    <t>Millage Rates for Base Year (2018)</t>
  </si>
  <si>
    <t>Tax Status</t>
  </si>
  <si>
    <t>Exempt</t>
  </si>
  <si>
    <t>Taxable</t>
  </si>
  <si>
    <t>Millage Rates (as Percentage)</t>
  </si>
  <si>
    <t>Assessment Ratio</t>
  </si>
  <si>
    <t>Market Value - Land</t>
  </si>
  <si>
    <t>Market Value - Building</t>
  </si>
  <si>
    <t>Market Value - Total</t>
  </si>
  <si>
    <t>Full TIF District</t>
  </si>
  <si>
    <t>N/A</t>
  </si>
  <si>
    <t>TIF District Assessed Values for Base Year (2018)</t>
  </si>
  <si>
    <t>TIF District Assessed Values for Tax Year 2022</t>
  </si>
  <si>
    <t>Gross Tax Revenues</t>
  </si>
  <si>
    <t>Base Tax Revenues</t>
  </si>
  <si>
    <t>Millage Rate Increase Tax Revenues</t>
  </si>
  <si>
    <t>Increment Tax Revenues</t>
  </si>
  <si>
    <t>Pledged Increment Tax Revenues</t>
  </si>
  <si>
    <t>Unpledged Increment Tax Revenues</t>
  </si>
  <si>
    <t>Total Tax Revenues to Taxing Body</t>
  </si>
  <si>
    <t>Percent of Taxes Paid with Discount</t>
  </si>
  <si>
    <t>Current Assessed Value - Land</t>
  </si>
  <si>
    <t>Current Assessed Value - Building</t>
  </si>
  <si>
    <t>Current Assessed Value - Total</t>
  </si>
  <si>
    <t>Base Assessed Value - Land</t>
  </si>
  <si>
    <t>Base Assessed Value - Building</t>
  </si>
  <si>
    <t>Base Assessed Value - Total</t>
  </si>
  <si>
    <t>Pledged/Diversion Rate</t>
  </si>
  <si>
    <t>Unplegded/Retained Rate</t>
  </si>
  <si>
    <t>Total to All Taxing Bodies</t>
  </si>
  <si>
    <t>Assumptions</t>
  </si>
  <si>
    <t>Calculation of Tax Revnues and Increments for Tax Year 2022</t>
  </si>
  <si>
    <t>Base Parking Gross Receipts</t>
  </si>
  <si>
    <t>2022 Parking Gross Receipts</t>
  </si>
  <si>
    <t>Parking Tax Diversion Rate</t>
  </si>
  <si>
    <t>Base Parking Tax Rate for Gross Parking Receipts</t>
  </si>
  <si>
    <t>2022 Parking Tax Rate for Gross Parking Receipts</t>
  </si>
  <si>
    <t>Total Parking Taxes to City of Pittsburgh</t>
  </si>
  <si>
    <t>2022 Parking Tax Revenue</t>
  </si>
  <si>
    <t>Base Parking Tax Revenue</t>
  </si>
  <si>
    <t>Incremental Parking Taxes</t>
  </si>
  <si>
    <t>Pledged Incremental Parking Taxes</t>
  </si>
  <si>
    <t>Incremental Parking Taxes Retained by City of Pittsburgh</t>
  </si>
  <si>
    <t>Revenues Due to Parking Tax Rate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</si>
</sst>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00%"/>
  </numFmts>
  <fonts count="5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 val="sing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" xfId="0" applyNumberFormat="1" applyFont="1" applyBorder="1"/>
    <xf numFmtId="0" fontId="2" fillId="0" borderId="5" xfId="0" applyFont="1" applyBorder="1"/>
    <xf numFmtId="9" fontId="2" fillId="0" borderId="6" xfId="0" applyNumberFormat="1" applyFont="1" applyBorder="1"/>
    <xf numFmtId="164" fontId="2" fillId="0" borderId="6" xfId="0" applyNumberFormat="1" applyFont="1" applyBorder="1"/>
    <xf numFmtId="0" fontId="3" fillId="0" borderId="5" xfId="0" applyFont="1" applyFill="1" applyBorder="1"/>
    <xf numFmtId="0" fontId="3" fillId="0" borderId="8" xfId="0" applyFont="1" applyBorder="1"/>
    <xf numFmtId="0" fontId="2" fillId="0" borderId="3" xfId="0" applyFont="1" applyFill="1" applyBorder="1"/>
    <xf numFmtId="41" fontId="2" fillId="0" borderId="0" xfId="0" applyNumberFormat="1" applyFont="1" applyBorder="1"/>
    <xf numFmtId="9" fontId="2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41" fontId="2" fillId="0" borderId="4" xfId="0" applyNumberFormat="1" applyFont="1" applyBorder="1"/>
    <xf numFmtId="41" fontId="4" fillId="0" borderId="0" xfId="0" applyNumberFormat="1" applyFont="1" applyBorder="1"/>
    <xf numFmtId="41" fontId="4" fillId="0" borderId="4" xfId="0" applyNumberFormat="1" applyFont="1" applyBorder="1"/>
    <xf numFmtId="41" fontId="2" fillId="0" borderId="8" xfId="0" applyNumberFormat="1" applyFont="1" applyBorder="1"/>
    <xf numFmtId="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1" fontId="2" fillId="0" borderId="6" xfId="0" applyNumberFormat="1" applyFont="1" applyBorder="1"/>
    <xf numFmtId="0" fontId="3" fillId="0" borderId="5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5" xfId="0" applyFont="1" applyFill="1" applyBorder="1"/>
    <xf numFmtId="0" fontId="2" fillId="0" borderId="3" xfId="0" applyFont="1" applyBorder="1" applyAlignment="1">
      <alignment wrapText="1"/>
    </xf>
    <xf numFmtId="164" fontId="2" fillId="0" borderId="4" xfId="1" applyNumberFormat="1" applyFont="1" applyBorder="1" applyAlignment="1">
      <alignment wrapText="1"/>
    </xf>
    <xf numFmtId="0" fontId="2" fillId="0" borderId="0" xfId="0" applyFont="1" applyAlignment="1">
      <alignment wrapText="1"/>
    </xf>
    <xf numFmtId="41" fontId="2" fillId="0" borderId="4" xfId="0" applyNumberFormat="1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9" fontId="2" fillId="0" borderId="6" xfId="1" applyFont="1" applyBorder="1" applyAlignment="1">
      <alignment wrapText="1"/>
    </xf>
    <xf numFmtId="0" fontId="2" fillId="0" borderId="0" xfId="0" applyFont="1" applyFill="1" applyBorder="1"/>
    <xf numFmtId="9" fontId="2" fillId="0" borderId="0" xfId="1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1" fontId="2" fillId="0" borderId="5" xfId="0" applyNumberFormat="1" applyFont="1" applyBorder="1"/>
    <xf numFmtId="43" fontId="2" fillId="0" borderId="8" xfId="0" applyNumberFormat="1" applyFont="1" applyBorder="1"/>
    <xf numFmtId="43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zoomScale="80" zoomScaleNormal="80" workbookViewId="0">
      <selection activeCell="E8" sqref="E8"/>
    </sheetView>
  </sheetViews>
  <sheetFormatPr defaultRowHeight="15.6" x14ac:dyDescent="0.3"/>
  <cols>
    <col min="1" max="1" width="8.88671875" style="1"/>
    <col min="2" max="2" width="29.109375" style="1" bestFit="1" customWidth="1"/>
    <col min="3" max="3" width="29.44140625" style="1" bestFit="1" customWidth="1"/>
    <col min="4" max="4" width="21.44140625" style="1" bestFit="1" customWidth="1"/>
    <col min="5" max="5" width="32.6640625" style="1" bestFit="1" customWidth="1"/>
    <col min="6" max="6" width="22.77734375" style="1" bestFit="1" customWidth="1"/>
    <col min="7" max="7" width="30.5546875" style="1" bestFit="1" customWidth="1"/>
    <col min="8" max="8" width="32.88671875" style="1" bestFit="1" customWidth="1"/>
    <col min="9" max="9" width="32.44140625" style="1" bestFit="1" customWidth="1"/>
    <col min="10" max="10" width="28.5546875" style="1" bestFit="1" customWidth="1"/>
    <col min="11" max="16384" width="8.88671875" style="1"/>
  </cols>
  <sheetData>
    <row r="1" spans="2:10" ht="16.2" thickBot="1" x14ac:dyDescent="0.35"/>
    <row r="2" spans="2:10" ht="16.2" thickBot="1" x14ac:dyDescent="0.35">
      <c r="B2" s="43" t="s">
        <v>8</v>
      </c>
      <c r="C2" s="45"/>
      <c r="E2" s="49" t="s">
        <v>38</v>
      </c>
      <c r="F2" s="50"/>
    </row>
    <row r="3" spans="2:10" ht="16.2" thickBot="1" x14ac:dyDescent="0.35">
      <c r="B3" s="2" t="s">
        <v>2</v>
      </c>
      <c r="C3" s="3" t="s">
        <v>12</v>
      </c>
      <c r="E3" s="4" t="s">
        <v>28</v>
      </c>
      <c r="F3" s="5">
        <v>0.98</v>
      </c>
    </row>
    <row r="4" spans="2:10" x14ac:dyDescent="0.3">
      <c r="B4" s="4" t="s">
        <v>3</v>
      </c>
      <c r="C4" s="6">
        <f>4.73/1000</f>
        <v>4.7300000000000007E-3</v>
      </c>
      <c r="E4" s="4" t="s">
        <v>35</v>
      </c>
      <c r="F4" s="5">
        <v>0.75</v>
      </c>
    </row>
    <row r="5" spans="2:10" ht="16.2" thickBot="1" x14ac:dyDescent="0.35">
      <c r="B5" s="4" t="s">
        <v>4</v>
      </c>
      <c r="C5" s="6">
        <f>8.06/1000</f>
        <v>8.0600000000000012E-3</v>
      </c>
      <c r="E5" s="7" t="s">
        <v>36</v>
      </c>
      <c r="F5" s="8">
        <v>0.25</v>
      </c>
    </row>
    <row r="6" spans="2:10" ht="16.2" thickBot="1" x14ac:dyDescent="0.35">
      <c r="B6" s="7" t="s">
        <v>5</v>
      </c>
      <c r="C6" s="9">
        <f>9.84/1000</f>
        <v>9.8399999999999998E-3</v>
      </c>
    </row>
    <row r="7" spans="2:10" ht="16.2" thickBot="1" x14ac:dyDescent="0.35"/>
    <row r="8" spans="2:10" x14ac:dyDescent="0.3">
      <c r="B8" s="43" t="s">
        <v>6</v>
      </c>
      <c r="C8" s="45"/>
    </row>
    <row r="9" spans="2:10" ht="16.2" thickBot="1" x14ac:dyDescent="0.35">
      <c r="B9" s="2" t="s">
        <v>2</v>
      </c>
      <c r="C9" s="3" t="s">
        <v>12</v>
      </c>
    </row>
    <row r="10" spans="2:10" x14ac:dyDescent="0.3">
      <c r="B10" s="4" t="s">
        <v>3</v>
      </c>
      <c r="C10" s="6">
        <f>4.73/1000</f>
        <v>4.7300000000000007E-3</v>
      </c>
    </row>
    <row r="11" spans="2:10" x14ac:dyDescent="0.3">
      <c r="B11" s="4" t="s">
        <v>4</v>
      </c>
      <c r="C11" s="6">
        <f>8.06/1000</f>
        <v>8.0600000000000012E-3</v>
      </c>
    </row>
    <row r="12" spans="2:10" ht="16.2" thickBot="1" x14ac:dyDescent="0.35">
      <c r="B12" s="7" t="s">
        <v>5</v>
      </c>
      <c r="C12" s="9">
        <f>10.25/1000</f>
        <v>1.025E-2</v>
      </c>
    </row>
    <row r="13" spans="2:10" ht="16.2" thickBot="1" x14ac:dyDescent="0.35"/>
    <row r="14" spans="2:10" x14ac:dyDescent="0.3">
      <c r="B14" s="43" t="s">
        <v>19</v>
      </c>
      <c r="C14" s="44"/>
      <c r="D14" s="44"/>
      <c r="E14" s="44"/>
      <c r="F14" s="44"/>
      <c r="G14" s="44"/>
      <c r="H14" s="44"/>
      <c r="I14" s="44"/>
      <c r="J14" s="45"/>
    </row>
    <row r="15" spans="2:10" ht="16.2" thickBot="1" x14ac:dyDescent="0.35">
      <c r="B15" s="10" t="s">
        <v>7</v>
      </c>
      <c r="C15" s="11" t="s">
        <v>14</v>
      </c>
      <c r="D15" s="11" t="s">
        <v>15</v>
      </c>
      <c r="E15" s="11" t="s">
        <v>16</v>
      </c>
      <c r="F15" s="11" t="s">
        <v>13</v>
      </c>
      <c r="G15" s="11" t="s">
        <v>9</v>
      </c>
      <c r="H15" s="11" t="s">
        <v>32</v>
      </c>
      <c r="I15" s="11" t="s">
        <v>33</v>
      </c>
      <c r="J15" s="3" t="s">
        <v>34</v>
      </c>
    </row>
    <row r="16" spans="2:10" x14ac:dyDescent="0.3">
      <c r="B16" s="12" t="s">
        <v>1</v>
      </c>
      <c r="C16" s="13">
        <v>1000000</v>
      </c>
      <c r="D16" s="13">
        <v>800000</v>
      </c>
      <c r="E16" s="13">
        <f>SUM(C16:D16)</f>
        <v>1800000</v>
      </c>
      <c r="F16" s="14">
        <v>1</v>
      </c>
      <c r="G16" s="15" t="s">
        <v>10</v>
      </c>
      <c r="H16" s="13">
        <f>IF(G16="Exempt",0,PRODUCT(F16,C16))</f>
        <v>0</v>
      </c>
      <c r="I16" s="13">
        <f>IF(G16="Exempt",0,PRODUCT(F16,D16))</f>
        <v>0</v>
      </c>
      <c r="J16" s="16">
        <f>SUM(H16:I16)</f>
        <v>0</v>
      </c>
    </row>
    <row r="17" spans="2:10" ht="17.399999999999999" x14ac:dyDescent="0.45">
      <c r="B17" s="12" t="s">
        <v>0</v>
      </c>
      <c r="C17" s="17">
        <v>700000</v>
      </c>
      <c r="D17" s="17">
        <v>1000000</v>
      </c>
      <c r="E17" s="17">
        <f>SUM(C17:D17)</f>
        <v>1700000</v>
      </c>
      <c r="F17" s="14">
        <v>1</v>
      </c>
      <c r="G17" s="15" t="s">
        <v>11</v>
      </c>
      <c r="H17" s="17">
        <f>IF(G17="Exempt",0,PRODUCT(F17,C17))</f>
        <v>700000</v>
      </c>
      <c r="I17" s="17">
        <f>IF(G17="Exempt",0,PRODUCT(F17,D17))</f>
        <v>1000000</v>
      </c>
      <c r="J17" s="18">
        <f>SUM(H17:I17)</f>
        <v>1700000</v>
      </c>
    </row>
    <row r="18" spans="2:10" ht="16.2" thickBot="1" x14ac:dyDescent="0.35">
      <c r="B18" s="7" t="s">
        <v>17</v>
      </c>
      <c r="C18" s="19">
        <f>SUM(C16:C17)</f>
        <v>1700000</v>
      </c>
      <c r="D18" s="19">
        <f t="shared" ref="D18:E18" si="0">SUM(D16:D17)</f>
        <v>1800000</v>
      </c>
      <c r="E18" s="19">
        <f t="shared" si="0"/>
        <v>3500000</v>
      </c>
      <c r="F18" s="20" t="s">
        <v>18</v>
      </c>
      <c r="G18" s="21" t="s">
        <v>18</v>
      </c>
      <c r="H18" s="19">
        <f>SUM(H16:H17)</f>
        <v>700000</v>
      </c>
      <c r="I18" s="19">
        <f t="shared" ref="I18" si="1">SUM(I16:I17)</f>
        <v>1000000</v>
      </c>
      <c r="J18" s="22">
        <f>SUM(J16:J17)</f>
        <v>1700000</v>
      </c>
    </row>
    <row r="19" spans="2:10" ht="16.2" thickBot="1" x14ac:dyDescent="0.35"/>
    <row r="20" spans="2:10" x14ac:dyDescent="0.3">
      <c r="B20" s="43" t="s">
        <v>20</v>
      </c>
      <c r="C20" s="44"/>
      <c r="D20" s="44"/>
      <c r="E20" s="44"/>
      <c r="F20" s="44"/>
      <c r="G20" s="44"/>
      <c r="H20" s="44"/>
      <c r="I20" s="44"/>
      <c r="J20" s="45"/>
    </row>
    <row r="21" spans="2:10" ht="16.2" thickBot="1" x14ac:dyDescent="0.35">
      <c r="B21" s="10" t="s">
        <v>7</v>
      </c>
      <c r="C21" s="11" t="s">
        <v>14</v>
      </c>
      <c r="D21" s="11" t="s">
        <v>15</v>
      </c>
      <c r="E21" s="11" t="s">
        <v>16</v>
      </c>
      <c r="F21" s="11" t="s">
        <v>13</v>
      </c>
      <c r="G21" s="11" t="s">
        <v>9</v>
      </c>
      <c r="H21" s="11" t="s">
        <v>29</v>
      </c>
      <c r="I21" s="11" t="s">
        <v>30</v>
      </c>
      <c r="J21" s="3" t="s">
        <v>31</v>
      </c>
    </row>
    <row r="22" spans="2:10" x14ac:dyDescent="0.3">
      <c r="B22" s="12" t="s">
        <v>1</v>
      </c>
      <c r="C22" s="13">
        <v>765400</v>
      </c>
      <c r="D22" s="13">
        <v>1238700</v>
      </c>
      <c r="E22" s="13">
        <f>SUM(C22:D22)</f>
        <v>2004100</v>
      </c>
      <c r="F22" s="14">
        <v>1</v>
      </c>
      <c r="G22" s="15" t="s">
        <v>11</v>
      </c>
      <c r="H22" s="13">
        <f>IF(G22="Exempt",0,PRODUCT(F22,C22))</f>
        <v>765400</v>
      </c>
      <c r="I22" s="13">
        <f>IF(G22="Exempt",0,PRODUCT(F22,D22))</f>
        <v>1238700</v>
      </c>
      <c r="J22" s="16">
        <f>SUM(H22:I22)</f>
        <v>2004100</v>
      </c>
    </row>
    <row r="23" spans="2:10" ht="17.399999999999999" x14ac:dyDescent="0.45">
      <c r="B23" s="12" t="s">
        <v>0</v>
      </c>
      <c r="C23" s="17">
        <v>2326300</v>
      </c>
      <c r="D23" s="17">
        <v>11698600</v>
      </c>
      <c r="E23" s="17">
        <f>SUM(C23:D23)</f>
        <v>14024900</v>
      </c>
      <c r="F23" s="14">
        <v>1</v>
      </c>
      <c r="G23" s="15" t="s">
        <v>11</v>
      </c>
      <c r="H23" s="17">
        <f>IF(G23="Exempt",0,PRODUCT(F23,C23))</f>
        <v>2326300</v>
      </c>
      <c r="I23" s="17">
        <f>IF(G23="Exempt",0,PRODUCT(F23,D23))</f>
        <v>11698600</v>
      </c>
      <c r="J23" s="18">
        <f>SUM(H23:I23)</f>
        <v>14024900</v>
      </c>
    </row>
    <row r="24" spans="2:10" ht="16.2" thickBot="1" x14ac:dyDescent="0.35">
      <c r="B24" s="7" t="s">
        <v>17</v>
      </c>
      <c r="C24" s="19">
        <f>SUM(C22:C23)</f>
        <v>3091700</v>
      </c>
      <c r="D24" s="19">
        <f t="shared" ref="D24" si="2">SUM(D22:D23)</f>
        <v>12937300</v>
      </c>
      <c r="E24" s="19">
        <f t="shared" ref="E24" si="3">SUM(E22:E23)</f>
        <v>16029000</v>
      </c>
      <c r="F24" s="20" t="s">
        <v>18</v>
      </c>
      <c r="G24" s="21" t="s">
        <v>18</v>
      </c>
      <c r="H24" s="19">
        <f>SUM(H22:H23)</f>
        <v>3091700</v>
      </c>
      <c r="I24" s="19">
        <f t="shared" ref="I24" si="4">SUM(I22:I23)</f>
        <v>12937300</v>
      </c>
      <c r="J24" s="22">
        <f>SUM(J22:J23)</f>
        <v>16029000</v>
      </c>
    </row>
    <row r="25" spans="2:10" ht="16.2" thickBot="1" x14ac:dyDescent="0.35"/>
    <row r="26" spans="2:10" x14ac:dyDescent="0.3">
      <c r="B26" s="46" t="s">
        <v>39</v>
      </c>
      <c r="C26" s="47"/>
      <c r="D26" s="47"/>
      <c r="E26" s="47"/>
      <c r="F26" s="47"/>
      <c r="G26" s="47"/>
      <c r="H26" s="47"/>
      <c r="I26" s="48"/>
    </row>
    <row r="27" spans="2:10" ht="16.2" thickBot="1" x14ac:dyDescent="0.35">
      <c r="B27" s="23" t="s">
        <v>2</v>
      </c>
      <c r="C27" s="24" t="s">
        <v>21</v>
      </c>
      <c r="D27" s="24" t="s">
        <v>22</v>
      </c>
      <c r="E27" s="24" t="s">
        <v>23</v>
      </c>
      <c r="F27" s="24" t="s">
        <v>24</v>
      </c>
      <c r="G27" s="25" t="s">
        <v>25</v>
      </c>
      <c r="H27" s="24" t="s">
        <v>26</v>
      </c>
      <c r="I27" s="26" t="s">
        <v>27</v>
      </c>
    </row>
    <row r="28" spans="2:10" x14ac:dyDescent="0.3">
      <c r="B28" s="12" t="s">
        <v>3</v>
      </c>
      <c r="C28" s="13">
        <f>PRODUCT($F$3,C10,$J$24)</f>
        <v>74300.8266</v>
      </c>
      <c r="D28" s="13">
        <f>PRODUCT($F$3,C4,$J$18)</f>
        <v>7880.1800000000012</v>
      </c>
      <c r="E28" s="13">
        <f>PRODUCT($F$3,SUM(C10,-C4),$J$18)</f>
        <v>0</v>
      </c>
      <c r="F28" s="13">
        <f>SUM(C28,-D28,-E28)</f>
        <v>66420.646599999993</v>
      </c>
      <c r="G28" s="13">
        <f>PRODUCT($F$4,F28)</f>
        <v>49815.484949999998</v>
      </c>
      <c r="H28" s="13">
        <f>PRODUCT($F$5,F28)</f>
        <v>16605.161649999998</v>
      </c>
      <c r="I28" s="16">
        <f>SUM(D28,E28,H28)</f>
        <v>24485.341649999998</v>
      </c>
    </row>
    <row r="29" spans="2:10" x14ac:dyDescent="0.3">
      <c r="B29" s="12" t="s">
        <v>4</v>
      </c>
      <c r="C29" s="13">
        <f t="shared" ref="C29:C30" si="5">PRODUCT($F$3,C11,$J$24)</f>
        <v>126609.86520000001</v>
      </c>
      <c r="D29" s="13">
        <f t="shared" ref="D29:D30" si="6">PRODUCT($F$3,C5,$J$18)</f>
        <v>13427.960000000001</v>
      </c>
      <c r="E29" s="13">
        <f t="shared" ref="E29:E30" si="7">PRODUCT($F$3,SUM(C11,-C5),$J$18)</f>
        <v>0</v>
      </c>
      <c r="F29" s="13">
        <f t="shared" ref="F29:F30" si="8">SUM(C29,-D29,-E29)</f>
        <v>113181.90520000001</v>
      </c>
      <c r="G29" s="13">
        <f t="shared" ref="G29:G30" si="9">PRODUCT($F$4,F29)</f>
        <v>84886.428899999999</v>
      </c>
      <c r="H29" s="13">
        <f t="shared" ref="H29:H30" si="10">PRODUCT($F$5,F29)</f>
        <v>28295.476300000002</v>
      </c>
      <c r="I29" s="16">
        <f t="shared" ref="I29:I30" si="11">SUM(D29,E29,H29)</f>
        <v>41723.436300000001</v>
      </c>
    </row>
    <row r="30" spans="2:10" ht="17.399999999999999" x14ac:dyDescent="0.45">
      <c r="B30" s="12" t="s">
        <v>5</v>
      </c>
      <c r="C30" s="17">
        <f t="shared" si="5"/>
        <v>161011.30499999999</v>
      </c>
      <c r="D30" s="17">
        <f t="shared" si="6"/>
        <v>16393.439999999999</v>
      </c>
      <c r="E30" s="17">
        <f t="shared" si="7"/>
        <v>683.06000000000108</v>
      </c>
      <c r="F30" s="17">
        <f t="shared" si="8"/>
        <v>143934.80499999999</v>
      </c>
      <c r="G30" s="17">
        <f t="shared" si="9"/>
        <v>107951.10374999999</v>
      </c>
      <c r="H30" s="17">
        <f t="shared" si="10"/>
        <v>35983.701249999998</v>
      </c>
      <c r="I30" s="18">
        <f t="shared" si="11"/>
        <v>53060.201249999998</v>
      </c>
    </row>
    <row r="31" spans="2:10" ht="16.2" thickBot="1" x14ac:dyDescent="0.35">
      <c r="B31" s="27" t="s">
        <v>37</v>
      </c>
      <c r="C31" s="19">
        <f>SUM(C28:C30)</f>
        <v>361921.99680000002</v>
      </c>
      <c r="D31" s="19">
        <f t="shared" ref="D31:I31" si="12">SUM(D28:D30)</f>
        <v>37701.58</v>
      </c>
      <c r="E31" s="19">
        <f t="shared" si="12"/>
        <v>683.06000000000108</v>
      </c>
      <c r="F31" s="19">
        <f t="shared" si="12"/>
        <v>323537.35680000001</v>
      </c>
      <c r="G31" s="19">
        <f t="shared" si="12"/>
        <v>242653.01760000002</v>
      </c>
      <c r="H31" s="19">
        <f t="shared" si="12"/>
        <v>80884.339200000002</v>
      </c>
      <c r="I31" s="22">
        <f t="shared" si="12"/>
        <v>119268.9792</v>
      </c>
    </row>
  </sheetData>
  <mergeCells count="6">
    <mergeCell ref="B20:J20"/>
    <mergeCell ref="B26:I26"/>
    <mergeCell ref="E2:F2"/>
    <mergeCell ref="B2:C2"/>
    <mergeCell ref="B8:C8"/>
    <mergeCell ref="B14:J14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96D7C-7541-42EB-B49F-167F2F28D3FE}">
  <dimension ref="B1:J11"/>
  <sheetViews>
    <sheetView tabSelected="1" zoomScale="80" zoomScaleNormal="80" workbookViewId="0">
      <selection activeCell="J12" sqref="J12"/>
    </sheetView>
  </sheetViews>
  <sheetFormatPr defaultRowHeight="15.6" x14ac:dyDescent="0.3"/>
  <cols>
    <col min="1" max="1" width="8.88671875" style="1"/>
    <col min="2" max="2" width="16.5546875" style="1" bestFit="1" customWidth="1"/>
    <col min="3" max="3" width="16.6640625" style="1" customWidth="1"/>
    <col min="4" max="4" width="17.77734375" style="1" customWidth="1"/>
    <col min="5" max="5" width="16.109375" style="1" customWidth="1"/>
    <col min="6" max="6" width="22.77734375" style="1" customWidth="1"/>
    <col min="7" max="7" width="23.44140625" style="1" customWidth="1"/>
    <col min="8" max="8" width="21.21875" style="1" customWidth="1"/>
    <col min="9" max="9" width="28.21875" style="1" customWidth="1"/>
    <col min="10" max="10" width="34.33203125" style="1" bestFit="1" customWidth="1"/>
    <col min="11" max="11" width="32.88671875" style="1" bestFit="1" customWidth="1"/>
    <col min="12" max="12" width="32.44140625" style="1" bestFit="1" customWidth="1"/>
    <col min="13" max="13" width="28.5546875" style="1" bestFit="1" customWidth="1"/>
    <col min="14" max="16384" width="8.88671875" style="1"/>
  </cols>
  <sheetData>
    <row r="1" spans="2:10" ht="16.2" thickBot="1" x14ac:dyDescent="0.35"/>
    <row r="2" spans="2:10" ht="16.2" thickBot="1" x14ac:dyDescent="0.35">
      <c r="B2" s="49" t="s">
        <v>38</v>
      </c>
      <c r="C2" s="50"/>
    </row>
    <row r="3" spans="2:10" s="30" customFormat="1" ht="62.4" x14ac:dyDescent="0.3">
      <c r="B3" s="28" t="s">
        <v>43</v>
      </c>
      <c r="C3" s="29">
        <v>0.27272999999999997</v>
      </c>
    </row>
    <row r="4" spans="2:10" s="30" customFormat="1" ht="62.4" x14ac:dyDescent="0.3">
      <c r="B4" s="28" t="s">
        <v>44</v>
      </c>
      <c r="C4" s="29">
        <v>0.27272999999999997</v>
      </c>
    </row>
    <row r="5" spans="2:10" s="30" customFormat="1" ht="31.2" x14ac:dyDescent="0.3">
      <c r="B5" s="28" t="s">
        <v>40</v>
      </c>
      <c r="C5" s="31">
        <v>250000</v>
      </c>
    </row>
    <row r="6" spans="2:10" s="30" customFormat="1" ht="31.2" x14ac:dyDescent="0.3">
      <c r="B6" s="28" t="s">
        <v>41</v>
      </c>
      <c r="C6" s="31">
        <v>3575980</v>
      </c>
    </row>
    <row r="7" spans="2:10" s="30" customFormat="1" ht="31.8" thickBot="1" x14ac:dyDescent="0.35">
      <c r="B7" s="32" t="s">
        <v>42</v>
      </c>
      <c r="C7" s="33">
        <v>0.7</v>
      </c>
    </row>
    <row r="8" spans="2:10" x14ac:dyDescent="0.3">
      <c r="B8" s="34"/>
      <c r="C8" s="35"/>
    </row>
    <row r="9" spans="2:10" ht="16.2" thickBot="1" x14ac:dyDescent="0.35"/>
    <row r="10" spans="2:10" s="30" customFormat="1" ht="47.4" thickBot="1" x14ac:dyDescent="0.35">
      <c r="B10" s="36" t="s">
        <v>41</v>
      </c>
      <c r="C10" s="37" t="s">
        <v>40</v>
      </c>
      <c r="D10" s="38" t="s">
        <v>46</v>
      </c>
      <c r="E10" s="38" t="s">
        <v>47</v>
      </c>
      <c r="F10" s="38" t="s">
        <v>51</v>
      </c>
      <c r="G10" s="38" t="s">
        <v>48</v>
      </c>
      <c r="H10" s="38" t="s">
        <v>49</v>
      </c>
      <c r="I10" s="38" t="s">
        <v>50</v>
      </c>
      <c r="J10" s="39" t="s">
        <v>45</v>
      </c>
    </row>
    <row r="11" spans="2:10" ht="16.2" thickBot="1" x14ac:dyDescent="0.35">
      <c r="B11" s="40">
        <f>C6</f>
        <v>3575980</v>
      </c>
      <c r="C11" s="19">
        <f>C5</f>
        <v>250000</v>
      </c>
      <c r="D11" s="41">
        <f>PRODUCT(C4,C6)</f>
        <v>975277.02539999993</v>
      </c>
      <c r="E11" s="41">
        <f>PRODUCT(C5,C3)</f>
        <v>68182.5</v>
      </c>
      <c r="F11" s="41">
        <f>PRODUCT(SUM(C4,-C3),C5)</f>
        <v>0</v>
      </c>
      <c r="G11" s="41">
        <f>SUM(D11,-E11,-F11)</f>
        <v>907094.52539999993</v>
      </c>
      <c r="H11" s="41">
        <f>PRODUCT(G11,C7)</f>
        <v>634966.1677799999</v>
      </c>
      <c r="I11" s="41">
        <f>PRODUCT(G11,SUM(1,-C7))</f>
        <v>272128.35762000002</v>
      </c>
      <c r="J11" s="42">
        <f>SUM(E11,F11,I11)</f>
        <v>340310.85762000002</v>
      </c>
    </row>
  </sheetData>
  <mergeCells count="1">
    <mergeCell ref="B2:C2"/>
  </mergeCells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TIF or TRID</vt:lpstr>
      <vt:lpstr>PTD</vt:lpstr>
    </vt:vector>
  </TitlesOfParts>
  <Company>URA of Pittsburgh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Reid</dc:creator>
  <cp:lastModifiedBy>James Reid</cp:lastModifiedBy>
  <dcterms:created xsi:type="dcterms:W3CDTF">2011-02-23T14:55:19Z</dcterms:created>
  <dcterms:modified xsi:type="dcterms:W3CDTF">2022-11-16T14:25:36Z</dcterms:modified>
</cp:coreProperties>
</file>